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5.1+\"/>
    </mc:Choice>
  </mc:AlternateContent>
  <xr:revisionPtr revIDLastSave="0" documentId="13_ncr:1_{A9C1C3B0-3BA3-45A8-B1FC-B5212C0A9A86}" xr6:coauthVersionLast="47" xr6:coauthVersionMax="47" xr10:uidLastSave="{00000000-0000-0000-0000-000000000000}"/>
  <bookViews>
    <workbookView xWindow="-120" yWindow="-120" windowWidth="29040" windowHeight="15840" tabRatio="808" activeTab="1" xr2:uid="{00000000-000D-0000-FFFF-FFFF00000000}"/>
  </bookViews>
  <sheets>
    <sheet name="Сводка затрат" sheetId="113" r:id="rId1"/>
    <sheet name="Цена МАТ и ОБ по ТКП" sheetId="15" r:id="rId2"/>
  </sheets>
  <externalReferences>
    <externalReference r:id="rId3"/>
    <externalReference r:id="rId4"/>
  </externalReferences>
  <definedNames>
    <definedName name="Здания_КРУЭ__ЗРУ__укомплектованных_оборудованием">[1]Таблица!$B$694:$B$697</definedName>
    <definedName name="_xlnm.Print_Area" localSheetId="0">'Сводка затрат'!$A$1:$M$41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5" l="1"/>
  <c r="D26" i="113" l="1"/>
  <c r="C6" i="113"/>
  <c r="G5" i="15" l="1"/>
  <c r="I6" i="113" l="1"/>
  <c r="C25" i="113"/>
  <c r="C24" i="113"/>
  <c r="G10" i="15" l="1"/>
  <c r="C28" i="15"/>
  <c r="G7" i="15" l="1"/>
  <c r="G8" i="15"/>
  <c r="G9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 l="1"/>
  <c r="J5" i="113" s="1"/>
  <c r="I26" i="113"/>
  <c r="I18" i="113"/>
  <c r="I17" i="113"/>
  <c r="I24" i="113"/>
  <c r="I16" i="113"/>
  <c r="I22" i="113"/>
  <c r="K26" i="113"/>
  <c r="J26" i="113"/>
  <c r="H26" i="113"/>
  <c r="K23" i="113"/>
  <c r="J23" i="113"/>
  <c r="H23" i="113"/>
  <c r="K22" i="113"/>
  <c r="J22" i="113"/>
  <c r="H22" i="113"/>
  <c r="K19" i="113"/>
  <c r="J19" i="113"/>
  <c r="H19" i="113"/>
  <c r="K18" i="113"/>
  <c r="H18" i="113"/>
  <c r="H17" i="113"/>
  <c r="K16" i="113"/>
  <c r="J16" i="113"/>
  <c r="H16" i="113"/>
  <c r="K15" i="113"/>
  <c r="J15" i="113"/>
  <c r="H15" i="113"/>
  <c r="K13" i="113"/>
  <c r="H13" i="113"/>
  <c r="L12" i="113"/>
  <c r="L19" i="113" s="1"/>
  <c r="K25" i="113"/>
  <c r="J18" i="113"/>
  <c r="H25" i="113"/>
  <c r="K17" i="113"/>
  <c r="J13" i="113"/>
  <c r="H24" i="113"/>
  <c r="L9" i="113"/>
  <c r="L16" i="113" s="1"/>
  <c r="L8" i="113"/>
  <c r="L15" i="113" s="1"/>
  <c r="K6" i="113"/>
  <c r="J6" i="113"/>
  <c r="H6" i="113"/>
  <c r="H20" i="113" l="1"/>
  <c r="H29" i="113" s="1"/>
  <c r="H27" i="113"/>
  <c r="H30" i="113" s="1"/>
  <c r="I19" i="113"/>
  <c r="I23" i="113"/>
  <c r="L23" i="113" s="1"/>
  <c r="L26" i="113"/>
  <c r="I15" i="113"/>
  <c r="I20" i="113"/>
  <c r="I29" i="113" s="1"/>
  <c r="L6" i="113"/>
  <c r="K20" i="113"/>
  <c r="K29" i="113" s="1"/>
  <c r="J24" i="113"/>
  <c r="I25" i="113"/>
  <c r="L25" i="113" s="1"/>
  <c r="L5" i="113"/>
  <c r="L10" i="113"/>
  <c r="L17" i="113" s="1"/>
  <c r="I13" i="113"/>
  <c r="J17" i="113"/>
  <c r="J20" i="113" s="1"/>
  <c r="J29" i="113" s="1"/>
  <c r="L22" i="113"/>
  <c r="K24" i="113"/>
  <c r="K27" i="113" s="1"/>
  <c r="K30" i="113" s="1"/>
  <c r="J25" i="113"/>
  <c r="L11" i="113"/>
  <c r="L18" i="113" s="1"/>
  <c r="L20" i="113" l="1"/>
  <c r="L29" i="113" s="1"/>
  <c r="J27" i="113"/>
  <c r="J30" i="113" s="1"/>
  <c r="I27" i="113"/>
  <c r="I30" i="113" s="1"/>
  <c r="L24" i="113"/>
  <c r="L13" i="113"/>
  <c r="G29" i="15" s="1"/>
  <c r="L27" i="113" l="1"/>
  <c r="L30" i="113"/>
  <c r="C26" i="113" s="1"/>
  <c r="G30" i="15" l="1"/>
</calcChain>
</file>

<file path=xl/sharedStrings.xml><?xml version="1.0" encoding="utf-8"?>
<sst xmlns="http://schemas.openxmlformats.org/spreadsheetml/2006/main" count="176" uniqueCount="106">
  <si>
    <t>№ п/п</t>
  </si>
  <si>
    <t>(наименование стройки)</t>
  </si>
  <si>
    <t>Заказчик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</si>
  <si>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</si>
  <si>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</si>
  <si>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</si>
  <si>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</si>
  <si>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</si>
  <si>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</si>
  <si>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</si>
  <si>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</si>
  <si>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</si>
  <si>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Индекс-дефлятор МЭР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</si>
  <si>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</si>
  <si>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</si>
  <si>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</si>
  <si>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</si>
  <si>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</si>
  <si>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</si>
  <si>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</si>
  <si>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</si>
  <si>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шт</t>
  </si>
  <si>
    <t>№ пп</t>
  </si>
  <si>
    <t>цена за ед. тыс. руб. без НДС</t>
  </si>
  <si>
    <t>Обоснование стоимости</t>
  </si>
  <si>
    <t>Стоимость объекта, тыс. руб.</t>
  </si>
  <si>
    <t>Общая сметная стоимость, тыс. руб.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</si>
  <si>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</si>
  <si>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</si>
  <si>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</si>
  <si>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</si>
  <si>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</si>
  <si>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</si>
  <si>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</si>
  <si>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</si>
  <si>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</si>
  <si>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</si>
  <si>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</si>
  <si>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5.1</t>
  </si>
  <si>
    <t>5.2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</si>
  <si>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</si>
  <si>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</si>
  <si>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</si>
  <si>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</si>
  <si>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Сметная стоимость всего:</t>
  </si>
  <si>
    <t xml:space="preserve">Итого </t>
  </si>
  <si>
    <t>Стоимость объекта в ценах года финансирования работ (с НДС)</t>
  </si>
  <si>
    <t>Итого (без НДС)</t>
  </si>
  <si>
    <t>Итого (с НДС)</t>
  </si>
  <si>
    <t>Стоимость выполнения работ в ценах 2029 года</t>
  </si>
  <si>
    <t>4 кв. 2024 г.</t>
  </si>
  <si>
    <t>Разбивка стоимость в текущих ценах (без НДС)</t>
  </si>
  <si>
    <t>Стоимость объекта в ценах года финансирования работ (без НДС)</t>
  </si>
  <si>
    <t>Экскаватор</t>
  </si>
  <si>
    <t>ПРМ ГАЗ НЕКСТ САДКО 4х4</t>
  </si>
  <si>
    <t>ГАЗель НЕКСТ</t>
  </si>
  <si>
    <t>УАЗ</t>
  </si>
  <si>
    <t>Автобус ВЕКТОР  NEXT 8.8</t>
  </si>
  <si>
    <t>Кроссовер ОМОДА</t>
  </si>
  <si>
    <t>Лада ГРАНТА КРОСС</t>
  </si>
  <si>
    <t xml:space="preserve">Автогидроподъемник 4х2 ГАЗон Некст  </t>
  </si>
  <si>
    <t>в ценах 4 кв. 2024г.</t>
  </si>
  <si>
    <t xml:space="preserve">Фронтальный погрузчик‐экскаватор + гидромолот </t>
  </si>
  <si>
    <t xml:space="preserve"> VESTA CROSS </t>
  </si>
  <si>
    <t xml:space="preserve">Мульчер Raptor 300 </t>
  </si>
  <si>
    <t xml:space="preserve">Электролаборатория </t>
  </si>
  <si>
    <t xml:space="preserve"> Автокран на базе КАМАЗ </t>
  </si>
  <si>
    <t xml:space="preserve"> Бурильно-крановая машина на базе КАМАЗ</t>
  </si>
  <si>
    <t xml:space="preserve"> ГАЗон NEXT бригадный </t>
  </si>
  <si>
    <t xml:space="preserve"> ГАЗ А22Р33 ГАЗЕЛЬ </t>
  </si>
  <si>
    <t xml:space="preserve"> Автокран на базе КАМАЗ 43118 КС-55732 </t>
  </si>
  <si>
    <t xml:space="preserve">КАМАЗ 65115 тягач </t>
  </si>
  <si>
    <t xml:space="preserve"> ГАЗ БКМ 4*4 </t>
  </si>
  <si>
    <t>Итого, сметная стоимость в прогнозном уровне цен с НДС</t>
  </si>
  <si>
    <t>Раздел 2.</t>
  </si>
  <si>
    <t>1.3</t>
  </si>
  <si>
    <t>1.4</t>
  </si>
  <si>
    <t>1.5</t>
  </si>
  <si>
    <t>1.6</t>
  </si>
  <si>
    <t>1.7</t>
  </si>
  <si>
    <t>Раздел 3.</t>
  </si>
  <si>
    <t>3.1</t>
  </si>
  <si>
    <t>3.2</t>
  </si>
  <si>
    <t>3.3</t>
  </si>
  <si>
    <t>3.4</t>
  </si>
  <si>
    <t>3.5</t>
  </si>
  <si>
    <t>3.6</t>
  </si>
  <si>
    <t>Раздел 4.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</si>
  <si>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</si>
  <si>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</si>
  <si>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</si>
  <si>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</si>
  <si>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</si>
  <si>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</si>
  <si>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</si>
  <si>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</si>
  <si>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Итого</t>
  </si>
  <si>
    <t xml:space="preserve">ГАЗ Соболь </t>
  </si>
  <si>
    <t>АО "БЭСК"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</si>
  <si>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2029г</t>
    </r>
    <r>
      <rPr>
        <sz val="11"/>
        <rFont val="Times New Roman"/>
        <family val="1"/>
        <charset val="204"/>
      </rPr>
      <t xml:space="preserve"> с НДС (тыс. руб.)</t>
    </r>
  </si>
  <si>
    <t>2.1</t>
  </si>
  <si>
    <t>О_1.5.1 Приобретения автотехники в количесиве - 43шт : Экскаватор – 1шт.; ПРМ ГАЗ НЕКСТ САДКО 4х4 – 4шт.; Автогидроподъемник КАМАЗ 43502 4х4 – 1шт.; ГАЗ Соболь –1шт.; ГАЗель НЕКСТ – 1шт.; УАЗ – 13шт.; Автобус ВЕКТОР NEXT 8.8 – 1шт.; Кроссовер ОМОДА – 1шт.; Лада ГРАНТА КРОСС – 2шт.; Автогидроподъемник 4х2 ГАЗон Некст ‐ 2шт.; Фронтальный погрузчик‐экскаватор + гидромолот – 1шт.; VESTA CROSS – 1шт.; Мульчер Raptor 300 – 1шт.; Электролаборатория – 3шт.; Автокран на базе КАМАЗ – 2шт.; ГАЗон NEXT АГП ВИПО-22-01 – 1шт.; Бурильно-крановая машина на базе КАМАЗ – 1шт.;  ГАЗон NEXT бригадный – 1шт.; ГАЗ А22Р33 ГАЗЕЛЬ – 1шт.; Автокран на базе КАМАЗ 43118 КС-55732 – 1шт.; КАМАЗ 65115 тягач – 1шт.; КАМАЗ 4*4 бортовой – 1шт.; ГАЗ БКМ 4*4 – 1шт.</t>
  </si>
  <si>
    <t>конъюнктурный анализ</t>
  </si>
  <si>
    <t xml:space="preserve">Автогидроподъемник КАМАЗ 43502 4х4 </t>
  </si>
  <si>
    <t xml:space="preserve">КАМАЗ 4*4 бортовой </t>
  </si>
  <si>
    <t xml:space="preserve"> ГАЗон NEXT АГП ВИПО-22-01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</si>
</sst>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_р_._-;\-* #,##0.00_р_._-;_-* &quot;-&quot;??_р_._-;_-@_-"/>
    <numFmt numFmtId="167" formatCode="#,##0.000"/>
    <numFmt numFmtId="168" formatCode="0.000000"/>
    <numFmt numFmtId="169" formatCode="0.00000"/>
    <numFmt numFmtId="170" formatCode="_-* #,##0_-;\-* #,##0_-;_-* &quot;-&quot;??_-;_-@_-"/>
    <numFmt numFmtId="171" formatCode="#,##0.0"/>
    <numFmt numFmtId="172" formatCode="#,##0.0000000"/>
    <numFmt numFmtId="173" formatCode="0.000"/>
    <numFmt numFmtId="174" formatCode="#,##0.00000"/>
    <numFmt numFmtId="175" formatCode="_-* #,##0.000\ _₽_-;\-* #,##0.000\ _₽_-;_-* &quot;-&quot;?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8" fillId="0" borderId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horizontal="center"/>
    </xf>
    <xf numFmtId="0" fontId="9" fillId="0" borderId="3" applyBorder="0" applyAlignment="0">
      <alignment horizontal="center" wrapText="1"/>
    </xf>
    <xf numFmtId="0" fontId="7" fillId="0" borderId="0">
      <alignment horizontal="left" vertical="top"/>
    </xf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7" fillId="0" borderId="0">
      <alignment horizontal="right" vertical="top" wrapText="1"/>
    </xf>
    <xf numFmtId="0" fontId="7" fillId="0" borderId="3">
      <alignment horizontal="center" wrapText="1"/>
    </xf>
    <xf numFmtId="0" fontId="12" fillId="0" borderId="0"/>
    <xf numFmtId="0" fontId="13" fillId="0" borderId="0"/>
    <xf numFmtId="0" fontId="2" fillId="0" borderId="0"/>
  </cellStyleXfs>
  <cellXfs count="99">
    <xf numFmtId="0" fontId="0" fillId="0" borderId="0" xfId="0"/>
    <xf numFmtId="0" fontId="1" fillId="0" borderId="0" xfId="1"/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3" xfId="24" applyFont="1" applyBorder="1" applyAlignment="1">
      <alignment horizontal="center" vertical="center" wrapText="1"/>
    </xf>
    <xf numFmtId="0" fontId="10" fillId="0" borderId="3" xfId="25" applyFont="1" applyBorder="1" applyAlignment="1">
      <alignment horizontal="center" wrapText="1"/>
    </xf>
    <xf numFmtId="49" fontId="11" fillId="3" borderId="3" xfId="24" applyNumberFormat="1" applyFont="1" applyFill="1" applyBorder="1" applyAlignment="1">
      <alignment horizontal="center" vertical="center" wrapText="1"/>
    </xf>
    <xf numFmtId="4" fontId="11" fillId="3" borderId="3" xfId="24" applyNumberFormat="1" applyFont="1" applyFill="1" applyBorder="1" applyAlignment="1">
      <alignment horizontal="right" vertical="center" wrapText="1"/>
    </xf>
    <xf numFmtId="49" fontId="10" fillId="0" borderId="3" xfId="24" applyNumberFormat="1" applyFont="1" applyBorder="1" applyAlignment="1">
      <alignment horizontal="center" vertical="center" wrapText="1"/>
    </xf>
    <xf numFmtId="4" fontId="10" fillId="0" borderId="3" xfId="24" applyNumberFormat="1" applyFont="1" applyBorder="1" applyAlignment="1">
      <alignment horizontal="right" vertical="center" wrapText="1"/>
    </xf>
    <xf numFmtId="4" fontId="10" fillId="0" borderId="3" xfId="24" applyNumberFormat="1" applyFont="1" applyBorder="1" applyAlignment="1">
      <alignment horizontal="center" vertical="center" wrapText="1"/>
    </xf>
    <xf numFmtId="4" fontId="11" fillId="3" borderId="3" xfId="24" applyNumberFormat="1" applyFont="1" applyFill="1" applyBorder="1" applyAlignment="1">
      <alignment horizontal="center" vertical="center" wrapText="1"/>
    </xf>
    <xf numFmtId="168" fontId="1" fillId="0" borderId="0" xfId="1" applyNumberFormat="1"/>
    <xf numFmtId="169" fontId="1" fillId="0" borderId="0" xfId="1" applyNumberFormat="1"/>
    <xf numFmtId="2" fontId="3" fillId="0" borderId="0" xfId="29" applyNumberFormat="1" applyFont="1" applyAlignment="1">
      <alignment horizontal="center" vertical="center"/>
    </xf>
    <xf numFmtId="170" fontId="1" fillId="0" borderId="0" xfId="3" applyNumberFormat="1" applyFont="1" applyFill="1"/>
    <xf numFmtId="4" fontId="1" fillId="0" borderId="0" xfId="1" applyNumberFormat="1"/>
    <xf numFmtId="167" fontId="10" fillId="0" borderId="3" xfId="24" applyNumberFormat="1" applyFont="1" applyBorder="1" applyAlignment="1">
      <alignment horizontal="right" vertical="center" wrapText="1"/>
    </xf>
    <xf numFmtId="4" fontId="14" fillId="0" borderId="3" xfId="24" applyNumberFormat="1" applyFont="1" applyBorder="1" applyAlignment="1">
      <alignment horizontal="right" vertical="center" wrapText="1"/>
    </xf>
    <xf numFmtId="171" fontId="10" fillId="0" borderId="3" xfId="24" applyNumberFormat="1" applyFont="1" applyBorder="1" applyAlignment="1">
      <alignment horizontal="center" vertical="center" wrapText="1"/>
    </xf>
    <xf numFmtId="172" fontId="10" fillId="0" borderId="3" xfId="24" applyNumberFormat="1" applyFont="1" applyBorder="1" applyAlignment="1">
      <alignment horizontal="center" vertical="center" wrapText="1"/>
    </xf>
    <xf numFmtId="4" fontId="10" fillId="4" borderId="3" xfId="24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174" fontId="0" fillId="0" borderId="0" xfId="0" applyNumberForma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0" xfId="0" applyFont="1"/>
    <xf numFmtId="174" fontId="16" fillId="0" borderId="0" xfId="0" applyNumberFormat="1" applyFont="1"/>
    <xf numFmtId="4" fontId="15" fillId="0" borderId="3" xfId="0" applyNumberFormat="1" applyFont="1" applyBorder="1" applyAlignment="1">
      <alignment horizontal="center"/>
    </xf>
    <xf numFmtId="0" fontId="15" fillId="0" borderId="3" xfId="0" applyFont="1" applyBorder="1"/>
    <xf numFmtId="0" fontId="17" fillId="0" borderId="0" xfId="0" applyFont="1"/>
    <xf numFmtId="0" fontId="15" fillId="0" borderId="0" xfId="0" applyFont="1"/>
    <xf numFmtId="167" fontId="14" fillId="0" borderId="3" xfId="24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/>
    </xf>
    <xf numFmtId="0" fontId="15" fillId="0" borderId="3" xfId="0" applyFont="1" applyBorder="1" applyAlignment="1">
      <alignment horizontal="left" wrapText="1"/>
    </xf>
    <xf numFmtId="0" fontId="10" fillId="0" borderId="0" xfId="1" applyFont="1"/>
    <xf numFmtId="0" fontId="10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top"/>
    </xf>
    <xf numFmtId="0" fontId="10" fillId="0" borderId="0" xfId="2" applyFont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18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164" fontId="10" fillId="0" borderId="0" xfId="2" applyNumberFormat="1" applyFont="1" applyAlignment="1">
      <alignment horizontal="left" vertical="center"/>
    </xf>
    <xf numFmtId="173" fontId="10" fillId="0" borderId="3" xfId="0" applyNumberFormat="1" applyFont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3" xfId="9" applyNumberFormat="1" applyFont="1" applyFill="1" applyBorder="1" applyAlignment="1">
      <alignment vertical="center" wrapText="1"/>
    </xf>
    <xf numFmtId="4" fontId="14" fillId="2" borderId="3" xfId="24" applyNumberFormat="1" applyFont="1" applyFill="1" applyBorder="1" applyAlignment="1">
      <alignment horizontal="right" vertical="center" wrapText="1"/>
    </xf>
    <xf numFmtId="4" fontId="10" fillId="3" borderId="3" xfId="24" applyNumberFormat="1" applyFont="1" applyFill="1" applyBorder="1" applyAlignment="1">
      <alignment horizontal="right" vertical="center" wrapText="1"/>
    </xf>
    <xf numFmtId="172" fontId="10" fillId="3" borderId="3" xfId="24" applyNumberFormat="1" applyFont="1" applyFill="1" applyBorder="1" applyAlignment="1">
      <alignment horizontal="center" vertical="center" wrapText="1"/>
    </xf>
    <xf numFmtId="175" fontId="20" fillId="0" borderId="0" xfId="1" applyNumberFormat="1" applyFont="1"/>
    <xf numFmtId="49" fontId="10" fillId="0" borderId="1" xfId="2" applyNumberFormat="1" applyFont="1" applyBorder="1" applyAlignment="1">
      <alignment horizontal="center" vertical="center" wrapText="1"/>
    </xf>
    <xf numFmtId="167" fontId="10" fillId="2" borderId="3" xfId="24" applyNumberFormat="1" applyFont="1" applyFill="1" applyBorder="1" applyAlignment="1">
      <alignment horizontal="center" vertical="center" wrapText="1"/>
    </xf>
    <xf numFmtId="4" fontId="10" fillId="2" borderId="3" xfId="2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3" xfId="30" applyFont="1" applyBorder="1" applyAlignment="1">
      <alignment horizontal="center" vertical="center" wrapText="1"/>
    </xf>
    <xf numFmtId="0" fontId="22" fillId="0" borderId="3" xfId="0" applyFont="1" applyBorder="1" applyAlignment="1">
      <alignment horizontal="left" wrapText="1"/>
    </xf>
    <xf numFmtId="0" fontId="22" fillId="0" borderId="3" xfId="0" applyFont="1" applyBorder="1"/>
    <xf numFmtId="0" fontId="22" fillId="0" borderId="3" xfId="0" applyFont="1" applyBorder="1" applyAlignment="1">
      <alignment horizontal="center"/>
    </xf>
    <xf numFmtId="2" fontId="22" fillId="0" borderId="3" xfId="0" applyNumberFormat="1" applyFont="1" applyBorder="1" applyAlignment="1">
      <alignment horizontal="center"/>
    </xf>
    <xf numFmtId="4" fontId="23" fillId="0" borderId="3" xfId="0" applyNumberFormat="1" applyFont="1" applyBorder="1" applyAlignment="1">
      <alignment horizontal="center"/>
    </xf>
    <xf numFmtId="0" fontId="7" fillId="0" borderId="0" xfId="7" applyFont="1" applyAlignment="1">
      <alignment vertical="top" wrapText="1"/>
    </xf>
    <xf numFmtId="0" fontId="10" fillId="0" borderId="3" xfId="24" applyFont="1" applyBorder="1" applyAlignment="1">
      <alignment horizontal="left" vertical="center" wrapText="1"/>
    </xf>
    <xf numFmtId="0" fontId="18" fillId="0" borderId="0" xfId="2" applyFont="1" applyAlignment="1">
      <alignment horizontal="left" vertical="center" wrapText="1"/>
    </xf>
    <xf numFmtId="0" fontId="10" fillId="4" borderId="3" xfId="24" applyFont="1" applyFill="1" applyBorder="1" applyAlignment="1">
      <alignment horizontal="left" vertical="center" wrapText="1"/>
    </xf>
    <xf numFmtId="0" fontId="14" fillId="0" borderId="3" xfId="24" applyFont="1" applyBorder="1" applyAlignment="1">
      <alignment horizontal="left" vertical="center" wrapText="1"/>
    </xf>
    <xf numFmtId="0" fontId="11" fillId="3" borderId="4" xfId="24" applyFont="1" applyFill="1" applyBorder="1" applyAlignment="1">
      <alignment horizontal="left" vertical="center" wrapText="1"/>
    </xf>
    <xf numFmtId="0" fontId="11" fillId="3" borderId="9" xfId="24" applyFont="1" applyFill="1" applyBorder="1" applyAlignment="1">
      <alignment horizontal="left" vertical="center" wrapText="1"/>
    </xf>
    <xf numFmtId="0" fontId="11" fillId="3" borderId="5" xfId="24" applyFont="1" applyFill="1" applyBorder="1" applyAlignment="1">
      <alignment horizontal="left" vertical="center" wrapText="1"/>
    </xf>
    <xf numFmtId="0" fontId="11" fillId="3" borderId="3" xfId="24" applyFont="1" applyFill="1" applyBorder="1" applyAlignment="1">
      <alignment horizontal="left" vertical="center" wrapText="1"/>
    </xf>
    <xf numFmtId="0" fontId="14" fillId="0" borderId="4" xfId="24" applyFont="1" applyBorder="1" applyAlignment="1">
      <alignment horizontal="left" vertical="center" wrapText="1"/>
    </xf>
    <xf numFmtId="0" fontId="14" fillId="0" borderId="5" xfId="24" applyFont="1" applyBorder="1" applyAlignment="1">
      <alignment horizontal="left" vertical="center" wrapText="1"/>
    </xf>
    <xf numFmtId="0" fontId="10" fillId="2" borderId="0" xfId="2" applyFont="1" applyFill="1" applyAlignment="1">
      <alignment horizontal="center" vertical="center" wrapText="1"/>
    </xf>
    <xf numFmtId="0" fontId="10" fillId="0" borderId="6" xfId="24" applyFont="1" applyBorder="1" applyAlignment="1">
      <alignment horizontal="center" vertical="center" wrapText="1"/>
    </xf>
    <xf numFmtId="0" fontId="10" fillId="0" borderId="10" xfId="24" applyFont="1" applyBorder="1" applyAlignment="1">
      <alignment horizontal="center" vertical="center" wrapText="1"/>
    </xf>
    <xf numFmtId="49" fontId="10" fillId="0" borderId="7" xfId="24" applyNumberFormat="1" applyFont="1" applyBorder="1" applyAlignment="1">
      <alignment horizontal="center" vertical="center" wrapText="1"/>
    </xf>
    <xf numFmtId="49" fontId="10" fillId="0" borderId="8" xfId="24" applyNumberFormat="1" applyFont="1" applyBorder="1" applyAlignment="1">
      <alignment horizontal="center" vertical="center" wrapText="1"/>
    </xf>
    <xf numFmtId="49" fontId="10" fillId="0" borderId="11" xfId="24" applyNumberFormat="1" applyFont="1" applyBorder="1" applyAlignment="1">
      <alignment horizontal="center" vertical="center" wrapText="1"/>
    </xf>
    <xf numFmtId="49" fontId="10" fillId="0" borderId="12" xfId="24" applyNumberFormat="1" applyFont="1" applyBorder="1" applyAlignment="1">
      <alignment horizontal="center" vertical="center" wrapText="1"/>
    </xf>
    <xf numFmtId="0" fontId="10" fillId="0" borderId="4" xfId="24" applyFont="1" applyBorder="1" applyAlignment="1">
      <alignment horizontal="left" vertical="center" wrapText="1"/>
    </xf>
    <xf numFmtId="0" fontId="10" fillId="0" borderId="5" xfId="24" applyFont="1" applyBorder="1" applyAlignment="1">
      <alignment horizontal="left" vertical="center" wrapText="1"/>
    </xf>
    <xf numFmtId="0" fontId="10" fillId="0" borderId="4" xfId="24" applyFont="1" applyBorder="1" applyAlignment="1">
      <alignment horizontal="center" vertical="center" wrapText="1"/>
    </xf>
    <xf numFmtId="0" fontId="10" fillId="0" borderId="9" xfId="24" applyFont="1" applyBorder="1" applyAlignment="1">
      <alignment horizontal="center" vertical="center" wrapText="1"/>
    </xf>
    <xf numFmtId="0" fontId="10" fillId="0" borderId="5" xfId="24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0" fillId="0" borderId="4" xfId="25" applyFont="1" applyBorder="1" applyAlignment="1">
      <alignment horizontal="center" wrapText="1"/>
    </xf>
    <xf numFmtId="0" fontId="10" fillId="0" borderId="5" xfId="25" applyFont="1" applyBorder="1" applyAlignment="1">
      <alignment horizontal="center" wrapText="1"/>
    </xf>
    <xf numFmtId="0" fontId="11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2" borderId="0" xfId="7" applyFont="1" applyFill="1" applyAlignment="1">
      <alignment horizontal="center" vertical="top" wrapText="1"/>
    </xf>
  </cellXfs>
  <cellStyles count="31">
    <cellStyle name="Normal" xfId="2" xr:uid="{00000000-0005-0000-0000-000000000000}"/>
    <cellStyle name="Итоги" xfId="26" xr:uid="{00000000-0005-0000-0000-000001000000}"/>
    <cellStyle name="ЛокСмета" xfId="27" xr:uid="{00000000-0005-0000-0000-000002000000}"/>
    <cellStyle name="Обычный" xfId="0" builtinId="0"/>
    <cellStyle name="Обычный 12" xfId="6" xr:uid="{00000000-0005-0000-0000-000004000000}"/>
    <cellStyle name="Обычный 14" xfId="4" xr:uid="{00000000-0005-0000-0000-000005000000}"/>
    <cellStyle name="Обычный 2" xfId="1" xr:uid="{00000000-0005-0000-0000-000006000000}"/>
    <cellStyle name="Обычный 2 2" xfId="7" xr:uid="{00000000-0005-0000-0000-000007000000}"/>
    <cellStyle name="Обычный 2 2 2" xfId="11" xr:uid="{00000000-0005-0000-0000-000008000000}"/>
    <cellStyle name="Обычный 2 2 2 2" xfId="24" xr:uid="{00000000-0005-0000-0000-000009000000}"/>
    <cellStyle name="Обычный 2 2 3" xfId="23" xr:uid="{00000000-0005-0000-0000-00000A000000}"/>
    <cellStyle name="Обычный 2 3" xfId="12" xr:uid="{00000000-0005-0000-0000-00000B000000}"/>
    <cellStyle name="Обычный 2 4" xfId="21" xr:uid="{00000000-0005-0000-0000-00000C000000}"/>
    <cellStyle name="Обычный 3" xfId="5" xr:uid="{00000000-0005-0000-0000-00000D000000}"/>
    <cellStyle name="Обычный 3 2" xfId="30" xr:uid="{C540C614-00E9-4627-BFE5-0B09DD29EBDC}"/>
    <cellStyle name="Обычный 3 4" xfId="17" xr:uid="{00000000-0005-0000-0000-00000E000000}"/>
    <cellStyle name="Обычный 4" xfId="28" xr:uid="{00000000-0005-0000-0000-00000F000000}"/>
    <cellStyle name="Обычный 6" xfId="13" xr:uid="{00000000-0005-0000-0000-000010000000}"/>
    <cellStyle name="Обычный 7" xfId="29" xr:uid="{00000000-0005-0000-0000-000011000000}"/>
    <cellStyle name="Обычный 7 2 2" xfId="14" xr:uid="{00000000-0005-0000-0000-000012000000}"/>
    <cellStyle name="Обычный 7 2 2 3" xfId="15" xr:uid="{00000000-0005-0000-0000-000013000000}"/>
    <cellStyle name="Обычный 7 2 2 3 2" xfId="16" xr:uid="{00000000-0005-0000-0000-000014000000}"/>
    <cellStyle name="ПИР" xfId="19" xr:uid="{00000000-0005-0000-0000-000015000000}"/>
    <cellStyle name="Процентный 2" xfId="10" xr:uid="{00000000-0005-0000-0000-000016000000}"/>
    <cellStyle name="СводРасч" xfId="25" xr:uid="{00000000-0005-0000-0000-000017000000}"/>
    <cellStyle name="Титул" xfId="18" xr:uid="{00000000-0005-0000-0000-000018000000}"/>
    <cellStyle name="Финансовый" xfId="3" builtinId="3"/>
    <cellStyle name="Финансовый 2" xfId="8" xr:uid="{00000000-0005-0000-0000-00001A000000}"/>
    <cellStyle name="Финансовый 2 2" xfId="9" xr:uid="{00000000-0005-0000-0000-00001B000000}"/>
    <cellStyle name="Финансовый 3" xfId="22" xr:uid="{00000000-0005-0000-0000-00001C000000}"/>
    <cellStyle name="Хвост" xfId="20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ankovdv\AppData\Local\Microsoft\Windows\INetCache\Content.Outlook\GT7SKLYG\H_prj_107000_51097%20(&#1057;&#104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ка затрат"/>
      <sheetName val="исходные данные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7"/>
  <sheetViews>
    <sheetView showOutlineSymbols="0" showWhiteSpace="0" zoomScale="80" zoomScaleNormal="80" zoomScaleSheetLayoutView="100" workbookViewId="0">
      <selection activeCell="B12" sqref="B12:C12"/>
    </sheetView>
  </sheetViews>
  <sheetFormatPr defaultColWidth="8.85546875" defaultRowHeight="15" outlineLevelCol="6" x14ac:dyDescent="0.25"/>
  <cols>
    <col min="1" max="1" width="5.5703125" style="41" bestFit="1" customWidth="1"/>
    <col min="2" max="2" width="42.42578125" style="41" customWidth="1"/>
    <col min="3" max="3" width="80" style="41" customWidth="1"/>
    <col min="4" max="4" width="14.85546875" style="41" customWidth="1" outlineLevel="6"/>
    <col min="5" max="5" width="10.42578125" style="41" customWidth="1"/>
    <col min="6" max="7" width="24.7109375" style="41" customWidth="1"/>
    <col min="8" max="8" width="15.7109375" style="41" customWidth="1"/>
    <col min="9" max="9" width="14.5703125" style="41" customWidth="1"/>
    <col min="10" max="10" width="12.85546875" style="41" customWidth="1"/>
    <col min="11" max="11" width="9.85546875" style="41" customWidth="1"/>
    <col min="12" max="12" width="15.5703125" style="41" customWidth="1"/>
    <col min="13" max="13" width="14.140625" style="41" customWidth="1"/>
    <col min="14" max="14" width="18.7109375" style="1" customWidth="1"/>
    <col min="15" max="15" width="11.5703125" style="1" hidden="1" customWidth="1"/>
    <col min="16" max="16" width="15.140625" style="1" customWidth="1"/>
    <col min="17" max="16384" width="8.85546875" style="1"/>
  </cols>
  <sheetData>
    <row r="1" spans="1:13" x14ac:dyDescent="0.25">
      <c r="A1" s="43"/>
      <c r="B1" s="43"/>
      <c r="C1" s="43"/>
      <c r="E1" s="82" t="s">
        <v>22</v>
      </c>
      <c r="F1" s="84" t="s">
        <v>24</v>
      </c>
      <c r="G1" s="85"/>
      <c r="H1" s="90" t="s">
        <v>25</v>
      </c>
      <c r="I1" s="91"/>
      <c r="J1" s="91"/>
      <c r="K1" s="92"/>
      <c r="L1" s="82" t="s">
        <v>26</v>
      </c>
      <c r="M1" s="82" t="s">
        <v>12</v>
      </c>
    </row>
    <row r="2" spans="1:13" ht="48.75" customHeight="1" x14ac:dyDescent="0.25">
      <c r="A2" s="44"/>
      <c r="B2" s="44" t="s">
        <v>2</v>
      </c>
      <c r="C2" s="45" t="s">
        <v>98</v>
      </c>
      <c r="E2" s="83"/>
      <c r="F2" s="86"/>
      <c r="G2" s="87"/>
      <c r="H2" s="6" t="s">
        <v>27</v>
      </c>
      <c r="I2" s="6" t="s">
        <v>28</v>
      </c>
      <c r="J2" s="6" t="s">
        <v>29</v>
      </c>
      <c r="K2" s="6" t="s">
        <v>30</v>
      </c>
      <c r="L2" s="83"/>
      <c r="M2" s="83"/>
    </row>
    <row r="3" spans="1:13" x14ac:dyDescent="0.25">
      <c r="A3" s="46"/>
      <c r="B3" s="46"/>
      <c r="C3" s="46"/>
      <c r="E3" s="7">
        <v>1</v>
      </c>
      <c r="F3" s="94">
        <v>2</v>
      </c>
      <c r="G3" s="95"/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</row>
    <row r="4" spans="1:13" x14ac:dyDescent="0.25">
      <c r="A4" s="44"/>
      <c r="B4" s="44"/>
      <c r="C4" s="44"/>
      <c r="E4" s="8" t="s">
        <v>31</v>
      </c>
      <c r="F4" s="75" t="s">
        <v>32</v>
      </c>
      <c r="G4" s="77"/>
      <c r="H4" s="9"/>
      <c r="I4" s="9"/>
      <c r="J4" s="9"/>
      <c r="K4" s="9"/>
      <c r="L4" s="9"/>
      <c r="M4" s="9"/>
    </row>
    <row r="5" spans="1:13" ht="15" customHeight="1" x14ac:dyDescent="0.25">
      <c r="A5" s="44"/>
      <c r="B5" s="44"/>
      <c r="C5" s="44"/>
      <c r="E5" s="10" t="s">
        <v>33</v>
      </c>
      <c r="F5" s="88" t="s">
        <v>34</v>
      </c>
      <c r="G5" s="89"/>
      <c r="H5" s="19">
        <v>0</v>
      </c>
      <c r="I5" s="11">
        <v>0</v>
      </c>
      <c r="J5" s="11">
        <f>'Цена МАТ и ОБ по ТКП'!G28</f>
        <v>273596.69644905371</v>
      </c>
      <c r="K5" s="19">
        <v>0</v>
      </c>
      <c r="L5" s="61">
        <f>SUM(H5:K5)</f>
        <v>273596.69644905371</v>
      </c>
      <c r="M5" s="12" t="s">
        <v>35</v>
      </c>
    </row>
    <row r="6" spans="1:13" ht="25.5" customHeight="1" x14ac:dyDescent="0.25">
      <c r="A6" s="44"/>
      <c r="B6" s="47" t="s">
        <v>99</v>
      </c>
      <c r="C6" s="48">
        <f>C26</f>
        <v>388894.18680000002</v>
      </c>
      <c r="E6" s="10" t="s">
        <v>36</v>
      </c>
      <c r="F6" s="88" t="s">
        <v>37</v>
      </c>
      <c r="G6" s="89"/>
      <c r="H6" s="11">
        <f>H5*1.2</f>
        <v>0</v>
      </c>
      <c r="I6" s="11">
        <f>I5*1.2</f>
        <v>0</v>
      </c>
      <c r="J6" s="11">
        <f t="shared" ref="J6:K6" si="0">J5*1.2</f>
        <v>328316.03573886445</v>
      </c>
      <c r="K6" s="11">
        <f t="shared" si="0"/>
        <v>0</v>
      </c>
      <c r="L6" s="62">
        <f>SUM(H6:K6)</f>
        <v>328316.03573886445</v>
      </c>
      <c r="M6" s="12" t="s">
        <v>35</v>
      </c>
    </row>
    <row r="7" spans="1:13" ht="15" customHeight="1" x14ac:dyDescent="0.25">
      <c r="A7" s="44"/>
      <c r="B7" s="44"/>
      <c r="C7" s="44"/>
      <c r="E7" s="8" t="s">
        <v>74</v>
      </c>
      <c r="F7" s="75" t="s">
        <v>51</v>
      </c>
      <c r="G7" s="76"/>
      <c r="H7" s="76"/>
      <c r="I7" s="77"/>
      <c r="J7" s="9"/>
      <c r="K7" s="9"/>
      <c r="L7" s="9"/>
      <c r="M7" s="13"/>
    </row>
    <row r="8" spans="1:13" ht="15" customHeight="1" x14ac:dyDescent="0.25">
      <c r="A8" s="46"/>
      <c r="B8" s="46"/>
      <c r="C8" s="46"/>
      <c r="E8" s="10" t="s">
        <v>36</v>
      </c>
      <c r="F8" s="88" t="s">
        <v>40</v>
      </c>
      <c r="G8" s="89"/>
      <c r="H8" s="11"/>
      <c r="I8" s="11"/>
      <c r="J8" s="11">
        <v>55965.614100185521</v>
      </c>
      <c r="K8" s="11"/>
      <c r="L8" s="49">
        <f>SUM(H8:K8)</f>
        <v>55965.614100185521</v>
      </c>
      <c r="M8" s="12" t="s">
        <v>35</v>
      </c>
    </row>
    <row r="9" spans="1:13" x14ac:dyDescent="0.25">
      <c r="A9" s="44"/>
      <c r="B9" s="44"/>
      <c r="C9" s="44"/>
      <c r="E9" s="10" t="s">
        <v>75</v>
      </c>
      <c r="F9" s="88" t="s">
        <v>41</v>
      </c>
      <c r="G9" s="89"/>
      <c r="H9" s="11"/>
      <c r="I9" s="11"/>
      <c r="J9" s="11">
        <v>54821.290702243081</v>
      </c>
      <c r="K9" s="11"/>
      <c r="L9" s="49">
        <f>SUM(H9:K9)</f>
        <v>54821.290702243081</v>
      </c>
      <c r="M9" s="12" t="s">
        <v>35</v>
      </c>
    </row>
    <row r="10" spans="1:13" ht="15" customHeight="1" x14ac:dyDescent="0.25">
      <c r="A10" s="44"/>
      <c r="B10" s="50" t="s">
        <v>50</v>
      </c>
      <c r="C10" s="44"/>
      <c r="E10" s="10" t="s">
        <v>76</v>
      </c>
      <c r="F10" s="88" t="s">
        <v>42</v>
      </c>
      <c r="G10" s="89"/>
      <c r="H10" s="11"/>
      <c r="I10" s="11"/>
      <c r="J10" s="11">
        <v>54845.893698292886</v>
      </c>
      <c r="K10" s="11"/>
      <c r="L10" s="49">
        <f t="shared" ref="L10:L12" si="1">SUM(H10:K10)</f>
        <v>54845.893698292886</v>
      </c>
      <c r="M10" s="12" t="s">
        <v>35</v>
      </c>
    </row>
    <row r="11" spans="1:13" x14ac:dyDescent="0.25">
      <c r="A11" s="44"/>
      <c r="B11" s="44"/>
      <c r="C11" s="44"/>
      <c r="E11" s="10" t="s">
        <v>77</v>
      </c>
      <c r="F11" s="88" t="s">
        <v>43</v>
      </c>
      <c r="G11" s="89"/>
      <c r="H11" s="11"/>
      <c r="I11" s="11"/>
      <c r="J11" s="11">
        <v>53850.464988628795</v>
      </c>
      <c r="K11" s="11"/>
      <c r="L11" s="49">
        <f t="shared" si="1"/>
        <v>53850.464988628795</v>
      </c>
      <c r="M11" s="12" t="s">
        <v>35</v>
      </c>
    </row>
    <row r="12" spans="1:13" ht="15.75" customHeight="1" x14ac:dyDescent="0.25">
      <c r="A12" s="51"/>
      <c r="B12" s="96" t="s">
        <v>10</v>
      </c>
      <c r="C12" s="96"/>
      <c r="E12" s="10" t="s">
        <v>78</v>
      </c>
      <c r="F12" s="88" t="s">
        <v>49</v>
      </c>
      <c r="G12" s="89"/>
      <c r="H12" s="11"/>
      <c r="I12" s="11"/>
      <c r="J12" s="11">
        <v>54113.432959703423</v>
      </c>
      <c r="K12" s="11"/>
      <c r="L12" s="49">
        <f t="shared" si="1"/>
        <v>54113.432959703423</v>
      </c>
      <c r="M12" s="12" t="s">
        <v>35</v>
      </c>
    </row>
    <row r="13" spans="1:13" x14ac:dyDescent="0.25">
      <c r="A13" s="44"/>
      <c r="B13" s="44"/>
      <c r="C13" s="44"/>
      <c r="E13" s="10" t="s">
        <v>79</v>
      </c>
      <c r="F13" s="79" t="s">
        <v>45</v>
      </c>
      <c r="G13" s="80"/>
      <c r="H13" s="20">
        <f>SUM(H8:H12)</f>
        <v>0</v>
      </c>
      <c r="I13" s="20">
        <f>SUM(I8:I12)</f>
        <v>0</v>
      </c>
      <c r="J13" s="20">
        <f>SUM(J8:J12)</f>
        <v>273596.69644905371</v>
      </c>
      <c r="K13" s="20">
        <f>SUM(K8:K12)</f>
        <v>0</v>
      </c>
      <c r="L13" s="37">
        <f>SUM(L8:L12)</f>
        <v>273596.69644905371</v>
      </c>
      <c r="M13" s="12" t="s">
        <v>35</v>
      </c>
    </row>
    <row r="14" spans="1:13" ht="109.5" customHeight="1" x14ac:dyDescent="0.25">
      <c r="A14" s="44"/>
      <c r="B14" s="81" t="s">
        <v>101</v>
      </c>
      <c r="C14" s="81"/>
      <c r="E14" s="8" t="s">
        <v>80</v>
      </c>
      <c r="F14" s="75" t="s">
        <v>52</v>
      </c>
      <c r="G14" s="76"/>
      <c r="H14" s="76"/>
      <c r="I14" s="76"/>
      <c r="J14" s="77"/>
      <c r="K14" s="9"/>
      <c r="L14" s="9"/>
      <c r="M14" s="13"/>
    </row>
    <row r="15" spans="1:13" ht="15" customHeight="1" x14ac:dyDescent="0.25">
      <c r="A15" s="46"/>
      <c r="B15" s="93" t="s">
        <v>1</v>
      </c>
      <c r="C15" s="93"/>
      <c r="E15" s="10" t="s">
        <v>81</v>
      </c>
      <c r="F15" s="71" t="s">
        <v>40</v>
      </c>
      <c r="G15" s="71"/>
      <c r="H15" s="11">
        <f>H8*$M$15/100</f>
        <v>0</v>
      </c>
      <c r="I15" s="11">
        <f t="shared" ref="I15:L15" si="2">I8*$M$15/100</f>
        <v>0</v>
      </c>
      <c r="J15" s="11">
        <f t="shared" si="2"/>
        <v>60330.931999999993</v>
      </c>
      <c r="K15" s="11">
        <f t="shared" si="2"/>
        <v>0</v>
      </c>
      <c r="L15" s="11">
        <f t="shared" si="2"/>
        <v>60330.931999999993</v>
      </c>
      <c r="M15" s="21">
        <v>107.8</v>
      </c>
    </row>
    <row r="16" spans="1:13" ht="15" customHeight="1" x14ac:dyDescent="0.25">
      <c r="A16" s="44"/>
      <c r="B16" s="44"/>
      <c r="C16" s="44"/>
      <c r="E16" s="10" t="s">
        <v>82</v>
      </c>
      <c r="F16" s="71" t="s">
        <v>41</v>
      </c>
      <c r="G16" s="71"/>
      <c r="H16" s="11">
        <f>H9*$M$15/100*$M$16/100</f>
        <v>0</v>
      </c>
      <c r="I16" s="11">
        <f>I9*$M$15/100*$M$16/100</f>
        <v>0</v>
      </c>
      <c r="J16" s="11">
        <f t="shared" ref="J16:L16" si="3">J9*$M$15/100*$M$16/100</f>
        <v>62229.510999999984</v>
      </c>
      <c r="K16" s="11">
        <f t="shared" si="3"/>
        <v>0</v>
      </c>
      <c r="L16" s="11">
        <f t="shared" si="3"/>
        <v>62229.510999999984</v>
      </c>
      <c r="M16" s="21">
        <v>105.3</v>
      </c>
    </row>
    <row r="17" spans="1:15" ht="15" customHeight="1" x14ac:dyDescent="0.25">
      <c r="A17" s="44"/>
      <c r="B17" s="44"/>
      <c r="C17" s="44"/>
      <c r="E17" s="10" t="s">
        <v>83</v>
      </c>
      <c r="F17" s="71" t="s">
        <v>42</v>
      </c>
      <c r="G17" s="71"/>
      <c r="H17" s="11">
        <f>H10*$M$15/100*$M$16/100*$M$17/100</f>
        <v>0</v>
      </c>
      <c r="I17" s="19">
        <f>I10*$M$15/100*$M$16/100*$M$17/100</f>
        <v>0</v>
      </c>
      <c r="J17" s="11">
        <f t="shared" ref="J17:L17" si="4">J10*$M$15/100*$M$16/100*$M$17/100</f>
        <v>64996.765999999989</v>
      </c>
      <c r="K17" s="11">
        <f t="shared" si="4"/>
        <v>0</v>
      </c>
      <c r="L17" s="11">
        <f t="shared" si="4"/>
        <v>64996.765999999989</v>
      </c>
      <c r="M17" s="21">
        <v>104.4</v>
      </c>
    </row>
    <row r="18" spans="1:15" ht="28.5" customHeight="1" x14ac:dyDescent="0.25">
      <c r="A18" s="42" t="s">
        <v>0</v>
      </c>
      <c r="B18" s="42" t="s">
        <v>9</v>
      </c>
      <c r="C18" s="42" t="s">
        <v>8</v>
      </c>
      <c r="E18" s="10" t="s">
        <v>84</v>
      </c>
      <c r="F18" s="71" t="s">
        <v>43</v>
      </c>
      <c r="G18" s="71"/>
      <c r="H18" s="11">
        <f>H11*$M$15/100*$M$16/100*$M$17/100*$M$18/100</f>
        <v>0</v>
      </c>
      <c r="I18" s="19">
        <f t="shared" ref="I18:L18" si="5">I11*$M$15/100*$M$16/100*$M$17/100*$M$18/100</f>
        <v>0</v>
      </c>
      <c r="J18" s="11">
        <f t="shared" si="5"/>
        <v>66625.055999999997</v>
      </c>
      <c r="K18" s="11">
        <f t="shared" si="5"/>
        <v>0</v>
      </c>
      <c r="L18" s="11">
        <f t="shared" si="5"/>
        <v>66625.055999999997</v>
      </c>
      <c r="M18" s="21">
        <v>104.4</v>
      </c>
    </row>
    <row r="19" spans="1:15" ht="15" customHeight="1" x14ac:dyDescent="0.25">
      <c r="A19" s="42">
        <v>1</v>
      </c>
      <c r="B19" s="42">
        <v>2</v>
      </c>
      <c r="C19" s="42">
        <v>3</v>
      </c>
      <c r="E19" s="10" t="s">
        <v>85</v>
      </c>
      <c r="F19" s="71" t="s">
        <v>49</v>
      </c>
      <c r="G19" s="71"/>
      <c r="H19" s="11">
        <f>H12*$M$15/100*$M$16/100*$M$17/100*$M$18/100*$M$19/100</f>
        <v>0</v>
      </c>
      <c r="I19" s="19">
        <f t="shared" ref="I19:L19" si="6">I12*$M$15/100*$M$16/100*$M$17/100*$M$18/100*$M$19/100</f>
        <v>0</v>
      </c>
      <c r="J19" s="11">
        <f t="shared" si="6"/>
        <v>69896.224000000002</v>
      </c>
      <c r="K19" s="11">
        <f t="shared" si="6"/>
        <v>0</v>
      </c>
      <c r="L19" s="11">
        <f t="shared" si="6"/>
        <v>69896.224000000002</v>
      </c>
      <c r="M19" s="21">
        <v>104.4</v>
      </c>
    </row>
    <row r="20" spans="1:15" ht="15" customHeight="1" x14ac:dyDescent="0.25">
      <c r="A20" s="42">
        <v>1</v>
      </c>
      <c r="B20" s="52" t="s">
        <v>7</v>
      </c>
      <c r="C20" s="53">
        <v>273.59699999999998</v>
      </c>
      <c r="E20" s="10" t="s">
        <v>86</v>
      </c>
      <c r="F20" s="74" t="s">
        <v>45</v>
      </c>
      <c r="G20" s="74"/>
      <c r="H20" s="20">
        <f>SUM(H15:H19)</f>
        <v>0</v>
      </c>
      <c r="I20" s="20">
        <f t="shared" ref="I20:K20" si="7">SUM(I15:I19)</f>
        <v>0</v>
      </c>
      <c r="J20" s="20">
        <f t="shared" si="7"/>
        <v>324078.48899999994</v>
      </c>
      <c r="K20" s="20">
        <f t="shared" si="7"/>
        <v>0</v>
      </c>
      <c r="L20" s="56">
        <f>SUM(L15:L19)</f>
        <v>324078.48899999994</v>
      </c>
      <c r="M20" s="22"/>
    </row>
    <row r="21" spans="1:15" ht="15" customHeight="1" x14ac:dyDescent="0.25">
      <c r="A21" s="60" t="s">
        <v>33</v>
      </c>
      <c r="B21" s="52" t="s">
        <v>6</v>
      </c>
      <c r="C21" s="54"/>
      <c r="E21" s="8" t="s">
        <v>87</v>
      </c>
      <c r="F21" s="75" t="s">
        <v>46</v>
      </c>
      <c r="G21" s="76"/>
      <c r="H21" s="76"/>
      <c r="I21" s="76"/>
      <c r="J21" s="77"/>
      <c r="K21" s="57"/>
      <c r="L21" s="57"/>
      <c r="M21" s="58"/>
    </row>
    <row r="22" spans="1:15" ht="15" customHeight="1" x14ac:dyDescent="0.25">
      <c r="A22" s="60" t="s">
        <v>36</v>
      </c>
      <c r="B22" s="52" t="s">
        <v>5</v>
      </c>
      <c r="C22" s="53">
        <v>273.59699999999998</v>
      </c>
      <c r="E22" s="10" t="s">
        <v>88</v>
      </c>
      <c r="F22" s="71" t="s">
        <v>40</v>
      </c>
      <c r="G22" s="71"/>
      <c r="H22" s="11">
        <f>H8*$M$22/100*1.2</f>
        <v>0</v>
      </c>
      <c r="I22" s="11">
        <f t="shared" ref="I22:K22" si="8">I8*$M$22/100*1.2</f>
        <v>0</v>
      </c>
      <c r="J22" s="11">
        <f t="shared" si="8"/>
        <v>72397.118399999992</v>
      </c>
      <c r="K22" s="11">
        <f t="shared" si="8"/>
        <v>0</v>
      </c>
      <c r="L22" s="11">
        <f>SUM(H22:K22)</f>
        <v>72397.118399999992</v>
      </c>
      <c r="M22" s="21">
        <v>107.8</v>
      </c>
    </row>
    <row r="23" spans="1:15" ht="15" customHeight="1" x14ac:dyDescent="0.25">
      <c r="A23" s="60" t="s">
        <v>75</v>
      </c>
      <c r="B23" s="52" t="s">
        <v>4</v>
      </c>
      <c r="C23" s="53">
        <v>0</v>
      </c>
      <c r="E23" s="10" t="s">
        <v>89</v>
      </c>
      <c r="F23" s="71" t="s">
        <v>41</v>
      </c>
      <c r="G23" s="71"/>
      <c r="H23" s="11">
        <f>H9*$M$22/100*$M$23/100*1.2</f>
        <v>0</v>
      </c>
      <c r="I23" s="11">
        <f t="shared" ref="I23:K23" si="9">I9*$M$22/100*$M$23/100*1.2</f>
        <v>0</v>
      </c>
      <c r="J23" s="11">
        <f t="shared" si="9"/>
        <v>74675.413199999981</v>
      </c>
      <c r="K23" s="11">
        <f t="shared" si="9"/>
        <v>0</v>
      </c>
      <c r="L23" s="11">
        <f t="shared" ref="L23:L26" si="10">SUM(H23:K23)</f>
        <v>74675.413199999981</v>
      </c>
      <c r="M23" s="21">
        <v>105.3</v>
      </c>
    </row>
    <row r="24" spans="1:15" ht="15" customHeight="1" x14ac:dyDescent="0.25">
      <c r="A24" s="42">
        <v>2</v>
      </c>
      <c r="B24" s="52" t="s">
        <v>44</v>
      </c>
      <c r="C24" s="53">
        <f>C22*1.2</f>
        <v>328.31639999999999</v>
      </c>
      <c r="E24" s="10" t="s">
        <v>90</v>
      </c>
      <c r="F24" s="71" t="s">
        <v>42</v>
      </c>
      <c r="G24" s="71"/>
      <c r="H24" s="11">
        <f>H10*$M$22/100*$M$23/100*$M$24/100*1.2</f>
        <v>0</v>
      </c>
      <c r="I24" s="11">
        <f t="shared" ref="I24:K24" si="11">I10*$M$22/100*$M$23/100*$M$24/100*1.2</f>
        <v>0</v>
      </c>
      <c r="J24" s="11">
        <f t="shared" si="11"/>
        <v>77996.119199999986</v>
      </c>
      <c r="K24" s="11">
        <f t="shared" si="11"/>
        <v>0</v>
      </c>
      <c r="L24" s="11">
        <f t="shared" si="10"/>
        <v>77996.119199999986</v>
      </c>
      <c r="M24" s="21">
        <v>104.4</v>
      </c>
    </row>
    <row r="25" spans="1:15" x14ac:dyDescent="0.25">
      <c r="A25" s="60" t="s">
        <v>100</v>
      </c>
      <c r="B25" s="52" t="s">
        <v>3</v>
      </c>
      <c r="C25" s="53">
        <f>C22*20%</f>
        <v>54.7194</v>
      </c>
      <c r="E25" s="10" t="s">
        <v>91</v>
      </c>
      <c r="F25" s="71" t="s">
        <v>43</v>
      </c>
      <c r="G25" s="71"/>
      <c r="H25" s="11">
        <f>H11*$M$22/100*$M$23/100*$M$24/100*$M$25/100*1.2</f>
        <v>0</v>
      </c>
      <c r="I25" s="11">
        <f t="shared" ref="I25:K25" si="12">I11*$M$22/100*$M$23/100*$M$24/100*$M$25/100*1.2</f>
        <v>0</v>
      </c>
      <c r="J25" s="11">
        <f t="shared" si="12"/>
        <v>79950.06719999999</v>
      </c>
      <c r="K25" s="11">
        <f t="shared" si="12"/>
        <v>0</v>
      </c>
      <c r="L25" s="11">
        <f>SUM(H25:K25)</f>
        <v>79950.06719999999</v>
      </c>
      <c r="M25" s="21">
        <v>104.4</v>
      </c>
      <c r="N25" s="18"/>
    </row>
    <row r="26" spans="1:15" ht="27" customHeight="1" x14ac:dyDescent="0.25">
      <c r="A26" s="42">
        <v>3</v>
      </c>
      <c r="B26" s="52" t="s">
        <v>73</v>
      </c>
      <c r="C26" s="55">
        <f>L30</f>
        <v>388894.18680000002</v>
      </c>
      <c r="D26" s="59">
        <f>C26/1.2</f>
        <v>324078.48900000006</v>
      </c>
      <c r="E26" s="10" t="s">
        <v>92</v>
      </c>
      <c r="F26" s="71" t="s">
        <v>49</v>
      </c>
      <c r="G26" s="71"/>
      <c r="H26" s="11">
        <f>H12*$M$22/100*$M$23/100*$M$24/100*$M$25/100*$M$26/100*1.2</f>
        <v>0</v>
      </c>
      <c r="I26" s="11">
        <f t="shared" ref="I26:K26" si="13">I12*$M$22/100*$M$23/100*$M$24/100*$M$25/100*$M$26/100*1.2</f>
        <v>0</v>
      </c>
      <c r="J26" s="11">
        <f t="shared" si="13"/>
        <v>83875.468800000002</v>
      </c>
      <c r="K26" s="11">
        <f t="shared" si="13"/>
        <v>0</v>
      </c>
      <c r="L26" s="11">
        <f t="shared" si="10"/>
        <v>83875.468800000002</v>
      </c>
      <c r="M26" s="21">
        <v>104.4</v>
      </c>
    </row>
    <row r="27" spans="1:15" ht="15" customHeight="1" x14ac:dyDescent="0.25">
      <c r="E27" s="10" t="s">
        <v>93</v>
      </c>
      <c r="F27" s="74" t="s">
        <v>45</v>
      </c>
      <c r="G27" s="74"/>
      <c r="H27" s="20">
        <f>SUM(H22:H26)</f>
        <v>0</v>
      </c>
      <c r="I27" s="20">
        <f t="shared" ref="I27:K27" si="14">SUM(I22:I26)</f>
        <v>0</v>
      </c>
      <c r="J27" s="20">
        <f t="shared" si="14"/>
        <v>388894.18680000002</v>
      </c>
      <c r="K27" s="20">
        <f t="shared" si="14"/>
        <v>0</v>
      </c>
      <c r="L27" s="20">
        <f>SUM(L22:L26)</f>
        <v>388894.18680000002</v>
      </c>
      <c r="M27" s="22"/>
    </row>
    <row r="28" spans="1:15" ht="15" customHeight="1" x14ac:dyDescent="0.25">
      <c r="E28" s="8" t="s">
        <v>94</v>
      </c>
      <c r="F28" s="78" t="s">
        <v>95</v>
      </c>
      <c r="G28" s="78"/>
      <c r="H28" s="78"/>
      <c r="I28" s="78"/>
      <c r="J28" s="78"/>
      <c r="K28" s="78"/>
      <c r="L28" s="78"/>
      <c r="M28" s="78"/>
    </row>
    <row r="29" spans="1:15" ht="15" customHeight="1" x14ac:dyDescent="0.25">
      <c r="A29" s="44"/>
      <c r="C29" s="44"/>
      <c r="E29" s="10" t="s">
        <v>38</v>
      </c>
      <c r="F29" s="73" t="s">
        <v>47</v>
      </c>
      <c r="G29" s="73"/>
      <c r="H29" s="23">
        <f>H20</f>
        <v>0</v>
      </c>
      <c r="I29" s="23">
        <f t="shared" ref="I29" si="15">I20</f>
        <v>0</v>
      </c>
      <c r="J29" s="23">
        <f>J20</f>
        <v>324078.48899999994</v>
      </c>
      <c r="K29" s="23">
        <f>K20</f>
        <v>0</v>
      </c>
      <c r="L29" s="23">
        <f>L20</f>
        <v>324078.48899999994</v>
      </c>
      <c r="M29" s="12" t="s">
        <v>35</v>
      </c>
    </row>
    <row r="30" spans="1:15" ht="25.5" customHeight="1" x14ac:dyDescent="0.25">
      <c r="A30" s="72" t="s">
        <v>11</v>
      </c>
      <c r="B30" s="72"/>
      <c r="C30" s="72"/>
      <c r="E30" s="10" t="s">
        <v>39</v>
      </c>
      <c r="F30" s="73" t="s">
        <v>48</v>
      </c>
      <c r="G30" s="73"/>
      <c r="H30" s="23">
        <f>H27</f>
        <v>0</v>
      </c>
      <c r="I30" s="23">
        <f t="shared" ref="I30:K30" si="16">I27</f>
        <v>0</v>
      </c>
      <c r="J30" s="23">
        <f t="shared" si="16"/>
        <v>388894.18680000002</v>
      </c>
      <c r="K30" s="23">
        <f t="shared" si="16"/>
        <v>0</v>
      </c>
      <c r="L30" s="23">
        <f>SUM(H30:K30)</f>
        <v>388894.18680000002</v>
      </c>
      <c r="M30" s="12" t="s">
        <v>35</v>
      </c>
    </row>
    <row r="31" spans="1:15" ht="15" customHeight="1" x14ac:dyDescent="0.25">
      <c r="O31" s="1">
        <v>1.0696887479999999</v>
      </c>
    </row>
    <row r="32" spans="1:15" ht="15" customHeight="1" x14ac:dyDescent="0.25">
      <c r="O32" s="1">
        <v>1.0527260919999999</v>
      </c>
    </row>
    <row r="33" spans="15:19" ht="15" customHeight="1" x14ac:dyDescent="0.25">
      <c r="O33" s="14">
        <v>1.04762</v>
      </c>
    </row>
    <row r="34" spans="15:19" ht="15" customHeight="1" x14ac:dyDescent="0.25">
      <c r="O34" s="15">
        <v>1.0458000000000001</v>
      </c>
      <c r="P34" s="17">
        <v>8369.9999999999982</v>
      </c>
    </row>
    <row r="35" spans="15:19" ht="15" customHeight="1" x14ac:dyDescent="0.25">
      <c r="O35" s="15">
        <v>1.0458000000000001</v>
      </c>
      <c r="P35" s="17">
        <v>8753</v>
      </c>
    </row>
    <row r="36" spans="15:19" ht="15" customHeight="1" x14ac:dyDescent="0.25">
      <c r="O36" s="15">
        <v>1.0458000000000001</v>
      </c>
      <c r="P36" s="17">
        <v>9155</v>
      </c>
    </row>
    <row r="37" spans="15:19" ht="15" customHeight="1" x14ac:dyDescent="0.25">
      <c r="O37" s="15"/>
      <c r="P37" s="17">
        <v>9575</v>
      </c>
    </row>
    <row r="38" spans="15:19" ht="15" customHeight="1" x14ac:dyDescent="0.25"/>
    <row r="39" spans="15:19" ht="15" customHeight="1" x14ac:dyDescent="0.25"/>
    <row r="40" spans="15:19" ht="14.25" customHeight="1" x14ac:dyDescent="0.25">
      <c r="P40" s="16"/>
      <c r="Q40" s="16"/>
      <c r="R40" s="16"/>
      <c r="S40" s="16"/>
    </row>
    <row r="42" spans="15:19" ht="14.25" customHeight="1" x14ac:dyDescent="0.25"/>
    <row r="44" spans="15:19" ht="14.25" customHeight="1" x14ac:dyDescent="0.25"/>
    <row r="46" spans="15:19" ht="14.25" customHeight="1" x14ac:dyDescent="0.25"/>
    <row r="47" spans="15:19" ht="15" customHeight="1" x14ac:dyDescent="0.25"/>
    <row r="48" spans="15:1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7" ht="14.25" customHeight="1" x14ac:dyDescent="0.25"/>
  </sheetData>
  <mergeCells count="37">
    <mergeCell ref="H1:K1"/>
    <mergeCell ref="L1:L2"/>
    <mergeCell ref="B15:C15"/>
    <mergeCell ref="F15:G15"/>
    <mergeCell ref="M1:M2"/>
    <mergeCell ref="F3:G3"/>
    <mergeCell ref="F7:I7"/>
    <mergeCell ref="F12:G12"/>
    <mergeCell ref="F14:J14"/>
    <mergeCell ref="F4:G4"/>
    <mergeCell ref="F10:G10"/>
    <mergeCell ref="F5:G5"/>
    <mergeCell ref="F6:G6"/>
    <mergeCell ref="F8:G8"/>
    <mergeCell ref="F9:G9"/>
    <mergeCell ref="B12:C12"/>
    <mergeCell ref="F13:G13"/>
    <mergeCell ref="B14:C14"/>
    <mergeCell ref="E1:E2"/>
    <mergeCell ref="F1:G2"/>
    <mergeCell ref="F11:G11"/>
    <mergeCell ref="F16:G16"/>
    <mergeCell ref="F17:G17"/>
    <mergeCell ref="F18:G18"/>
    <mergeCell ref="A30:C30"/>
    <mergeCell ref="F30:G30"/>
    <mergeCell ref="F27:G27"/>
    <mergeCell ref="F29:G29"/>
    <mergeCell ref="F19:G19"/>
    <mergeCell ref="F26:G26"/>
    <mergeCell ref="F20:G20"/>
    <mergeCell ref="F22:G22"/>
    <mergeCell ref="F23:G23"/>
    <mergeCell ref="F25:G25"/>
    <mergeCell ref="F24:G24"/>
    <mergeCell ref="F21:J21"/>
    <mergeCell ref="F28:M28"/>
  </mergeCells>
  <phoneticPr fontId="21" type="noConversion"/>
  <pageMargins left="0.75" right="0.75" top="1" bottom="1" header="0.5" footer="0.5"/>
  <pageSetup paperSize="9" scale="3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'D:\Users\pankovdv\AppData\Local\Microsoft\Windows\INetCache\Content.Outlook\GT7SKLYG\[H_prj_107000_51097 (СЗ).xlsx]исходные данные'!#REF!</xm:f>
          </x14:formula1>
          <xm:sqref>F6:G7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tabSelected="1" zoomScale="90" zoomScaleNormal="90" workbookViewId="0">
      <selection activeCell="A20" sqref="A20"/>
    </sheetView>
  </sheetViews>
  <sheetFormatPr defaultRowHeight="15" x14ac:dyDescent="0.25"/>
  <cols>
    <col min="1" max="1" width="43.7109375" customWidth="1"/>
    <col min="2" max="2" width="10.5703125" customWidth="1"/>
    <col min="3" max="3" width="8.85546875" customWidth="1"/>
    <col min="4" max="4" width="19.140625" customWidth="1"/>
    <col min="5" max="5" width="12.42578125" customWidth="1"/>
    <col min="6" max="6" width="19.5703125" customWidth="1"/>
    <col min="7" max="7" width="18.85546875" customWidth="1"/>
    <col min="8" max="8" width="21.7109375" customWidth="1"/>
    <col min="9" max="9" width="14.5703125" style="31" customWidth="1"/>
    <col min="10" max="10" width="11" customWidth="1"/>
  </cols>
  <sheetData>
    <row r="1" spans="1:11" ht="63.75" customHeight="1" x14ac:dyDescent="0.25">
      <c r="A1" s="98" t="s">
        <v>101</v>
      </c>
      <c r="B1" s="98"/>
      <c r="C1" s="98"/>
      <c r="D1" s="98"/>
      <c r="E1" s="98"/>
      <c r="F1" s="98"/>
      <c r="G1" s="98"/>
      <c r="H1" s="98"/>
      <c r="I1" s="70"/>
      <c r="J1" s="70"/>
      <c r="K1" s="70"/>
    </row>
    <row r="2" spans="1:11" ht="50.25" customHeight="1" x14ac:dyDescent="0.25">
      <c r="A2" s="97" t="s">
        <v>13</v>
      </c>
      <c r="B2" s="97"/>
      <c r="C2" s="97"/>
      <c r="D2" s="97"/>
      <c r="E2" s="97"/>
      <c r="F2" s="97"/>
      <c r="G2" s="97"/>
      <c r="H2" s="97"/>
      <c r="I2" s="63"/>
      <c r="J2" s="63"/>
      <c r="K2" s="63"/>
    </row>
    <row r="3" spans="1:11" ht="23.25" customHeight="1" x14ac:dyDescent="0.25">
      <c r="A3" s="4" t="s">
        <v>61</v>
      </c>
      <c r="B3" s="4"/>
      <c r="C3" s="4"/>
      <c r="D3" s="4"/>
      <c r="E3" s="4"/>
      <c r="F3" s="4"/>
      <c r="G3" s="4"/>
      <c r="H3" s="4"/>
      <c r="J3" s="2"/>
    </row>
    <row r="4" spans="1:11" ht="31.5" x14ac:dyDescent="0.25">
      <c r="A4" s="3" t="s">
        <v>14</v>
      </c>
      <c r="B4" s="3" t="s">
        <v>15</v>
      </c>
      <c r="C4" s="3" t="s">
        <v>16</v>
      </c>
      <c r="D4" s="3" t="s">
        <v>23</v>
      </c>
      <c r="E4" s="3" t="s">
        <v>17</v>
      </c>
      <c r="F4" s="3" t="s">
        <v>18</v>
      </c>
      <c r="G4" s="3" t="s">
        <v>19</v>
      </c>
      <c r="H4" s="3" t="s">
        <v>20</v>
      </c>
    </row>
    <row r="5" spans="1:11" ht="21.75" customHeight="1" x14ac:dyDescent="0.25">
      <c r="A5" s="38" t="s">
        <v>53</v>
      </c>
      <c r="B5" s="24" t="s">
        <v>21</v>
      </c>
      <c r="C5" s="5">
        <v>1</v>
      </c>
      <c r="D5" s="26">
        <v>9681.315833333334</v>
      </c>
      <c r="E5" s="24"/>
      <c r="F5" s="5"/>
      <c r="G5" s="25">
        <f>C5*D5</f>
        <v>9681.315833333334</v>
      </c>
      <c r="H5" s="64" t="s">
        <v>102</v>
      </c>
      <c r="I5" s="31">
        <v>10436458.333333334</v>
      </c>
    </row>
    <row r="6" spans="1:11" x14ac:dyDescent="0.25">
      <c r="A6" s="39" t="s">
        <v>54</v>
      </c>
      <c r="B6" s="24" t="s">
        <v>21</v>
      </c>
      <c r="C6" s="27">
        <v>4</v>
      </c>
      <c r="D6" s="33">
        <v>6458.3333333333303</v>
      </c>
      <c r="E6" s="27"/>
      <c r="F6" s="27"/>
      <c r="G6" s="25">
        <f>C6*D6</f>
        <v>25833.333333333321</v>
      </c>
      <c r="H6" s="64" t="s">
        <v>102</v>
      </c>
      <c r="I6" s="31">
        <v>6455166</v>
      </c>
    </row>
    <row r="7" spans="1:11" x14ac:dyDescent="0.25">
      <c r="A7" s="39" t="s">
        <v>103</v>
      </c>
      <c r="B7" s="24" t="s">
        <v>21</v>
      </c>
      <c r="C7" s="27">
        <v>1</v>
      </c>
      <c r="D7" s="33">
        <v>10590.6</v>
      </c>
      <c r="E7" s="27"/>
      <c r="F7" s="27"/>
      <c r="G7" s="25">
        <f t="shared" ref="G7:G27" si="0">C7*D7</f>
        <v>10590.6</v>
      </c>
      <c r="H7" s="64" t="s">
        <v>102</v>
      </c>
      <c r="I7" s="31">
        <v>11416667</v>
      </c>
    </row>
    <row r="8" spans="1:11" x14ac:dyDescent="0.25">
      <c r="A8" s="39" t="s">
        <v>97</v>
      </c>
      <c r="B8" s="24" t="s">
        <v>21</v>
      </c>
      <c r="C8" s="27">
        <v>1</v>
      </c>
      <c r="D8" s="33">
        <v>2038.0333333333333</v>
      </c>
      <c r="E8" s="27"/>
      <c r="F8" s="27"/>
      <c r="G8" s="25">
        <f t="shared" si="0"/>
        <v>2038.0333333333333</v>
      </c>
      <c r="H8" s="64" t="s">
        <v>102</v>
      </c>
      <c r="I8" s="31">
        <v>2197000</v>
      </c>
    </row>
    <row r="9" spans="1:11" x14ac:dyDescent="0.25">
      <c r="A9" s="39" t="s">
        <v>55</v>
      </c>
      <c r="B9" s="24" t="s">
        <v>21</v>
      </c>
      <c r="C9" s="27">
        <v>1</v>
      </c>
      <c r="D9" s="33">
        <v>1909.4000000000003</v>
      </c>
      <c r="E9" s="27"/>
      <c r="F9" s="27"/>
      <c r="G9" s="25">
        <f t="shared" si="0"/>
        <v>1909.4000000000003</v>
      </c>
      <c r="H9" s="64" t="s">
        <v>102</v>
      </c>
      <c r="I9" s="31">
        <v>2058333</v>
      </c>
    </row>
    <row r="10" spans="1:11" x14ac:dyDescent="0.25">
      <c r="A10" s="39" t="s">
        <v>56</v>
      </c>
      <c r="B10" s="24" t="s">
        <v>21</v>
      </c>
      <c r="C10" s="27">
        <v>13</v>
      </c>
      <c r="D10" s="33">
        <v>1387.3914576195218</v>
      </c>
      <c r="E10" s="27"/>
      <c r="F10" s="27"/>
      <c r="G10" s="25">
        <f>C10*D10</f>
        <v>18036.088949053785</v>
      </c>
      <c r="H10" s="64" t="s">
        <v>102</v>
      </c>
      <c r="I10" s="31">
        <v>1366801.3666666667</v>
      </c>
    </row>
    <row r="11" spans="1:11" x14ac:dyDescent="0.25">
      <c r="A11" s="39" t="s">
        <v>57</v>
      </c>
      <c r="B11" s="24" t="s">
        <v>21</v>
      </c>
      <c r="C11" s="27">
        <v>1</v>
      </c>
      <c r="D11" s="33">
        <v>5936.92</v>
      </c>
      <c r="E11" s="27"/>
      <c r="F11" s="27"/>
      <c r="G11" s="25">
        <f t="shared" si="0"/>
        <v>5936.92</v>
      </c>
      <c r="H11" s="64" t="s">
        <v>102</v>
      </c>
      <c r="I11" s="31">
        <v>6400000</v>
      </c>
    </row>
    <row r="12" spans="1:11" x14ac:dyDescent="0.25">
      <c r="A12" s="39" t="s">
        <v>58</v>
      </c>
      <c r="B12" s="24" t="s">
        <v>21</v>
      </c>
      <c r="C12" s="27">
        <v>1</v>
      </c>
      <c r="D12" s="33">
        <v>1777.9841666666669</v>
      </c>
      <c r="E12" s="27"/>
      <c r="F12" s="27"/>
      <c r="G12" s="25">
        <f t="shared" si="0"/>
        <v>1777.9841666666669</v>
      </c>
      <c r="H12" s="64" t="s">
        <v>102</v>
      </c>
      <c r="I12" s="31">
        <v>1916667</v>
      </c>
    </row>
    <row r="13" spans="1:11" x14ac:dyDescent="0.25">
      <c r="A13" s="39" t="s">
        <v>59</v>
      </c>
      <c r="B13" s="24" t="s">
        <v>21</v>
      </c>
      <c r="C13" s="27">
        <v>2</v>
      </c>
      <c r="D13" s="33">
        <v>974.02583333333325</v>
      </c>
      <c r="E13" s="27"/>
      <c r="F13" s="27"/>
      <c r="G13" s="25">
        <f t="shared" si="0"/>
        <v>1948.0516666666665</v>
      </c>
      <c r="H13" s="64" t="s">
        <v>102</v>
      </c>
      <c r="I13" s="31">
        <v>1050000</v>
      </c>
    </row>
    <row r="14" spans="1:11" x14ac:dyDescent="0.25">
      <c r="A14" s="39" t="s">
        <v>60</v>
      </c>
      <c r="B14" s="24" t="s">
        <v>21</v>
      </c>
      <c r="C14" s="27">
        <v>2</v>
      </c>
      <c r="D14" s="33">
        <v>8727.5816666666669</v>
      </c>
      <c r="E14" s="27"/>
      <c r="F14" s="27"/>
      <c r="G14" s="25">
        <f t="shared" si="0"/>
        <v>17455.163333333334</v>
      </c>
      <c r="H14" s="64" t="s">
        <v>102</v>
      </c>
      <c r="I14" s="31">
        <v>9408333.333333334</v>
      </c>
    </row>
    <row r="15" spans="1:11" ht="15.75" customHeight="1" x14ac:dyDescent="0.25">
      <c r="A15" s="40" t="s">
        <v>62</v>
      </c>
      <c r="B15" s="24" t="s">
        <v>21</v>
      </c>
      <c r="C15" s="27">
        <v>1</v>
      </c>
      <c r="D15" s="33">
        <v>7999.9999999999991</v>
      </c>
      <c r="E15" s="27"/>
      <c r="F15" s="27"/>
      <c r="G15" s="25">
        <f t="shared" si="0"/>
        <v>7999.9999999999991</v>
      </c>
      <c r="H15" s="64" t="s">
        <v>102</v>
      </c>
    </row>
    <row r="16" spans="1:11" x14ac:dyDescent="0.25">
      <c r="A16" s="40" t="s">
        <v>63</v>
      </c>
      <c r="B16" s="24" t="s">
        <v>21</v>
      </c>
      <c r="C16" s="27">
        <v>1</v>
      </c>
      <c r="D16" s="33">
        <v>1291.6666666666697</v>
      </c>
      <c r="E16" s="27"/>
      <c r="F16" s="27"/>
      <c r="G16" s="25">
        <f t="shared" si="0"/>
        <v>1291.6666666666697</v>
      </c>
      <c r="H16" s="64" t="s">
        <v>102</v>
      </c>
    </row>
    <row r="17" spans="1:9" x14ac:dyDescent="0.25">
      <c r="A17" s="40" t="s">
        <v>64</v>
      </c>
      <c r="B17" s="24" t="s">
        <v>21</v>
      </c>
      <c r="C17" s="27">
        <v>1</v>
      </c>
      <c r="D17" s="33">
        <v>17903.525000000001</v>
      </c>
      <c r="E17" s="27"/>
      <c r="F17" s="27"/>
      <c r="G17" s="25">
        <f t="shared" si="0"/>
        <v>17903.525000000001</v>
      </c>
      <c r="H17" s="64" t="s">
        <v>102</v>
      </c>
    </row>
    <row r="18" spans="1:9" x14ac:dyDescent="0.25">
      <c r="A18" s="40" t="s">
        <v>65</v>
      </c>
      <c r="B18" s="24" t="s">
        <v>21</v>
      </c>
      <c r="C18" s="27">
        <v>3</v>
      </c>
      <c r="D18" s="33">
        <v>21664.315833333305</v>
      </c>
      <c r="E18" s="27"/>
      <c r="F18" s="27"/>
      <c r="G18" s="25">
        <f t="shared" si="0"/>
        <v>64992.947499999915</v>
      </c>
      <c r="H18" s="64" t="s">
        <v>102</v>
      </c>
    </row>
    <row r="19" spans="1:9" x14ac:dyDescent="0.25">
      <c r="A19" s="40" t="s">
        <v>66</v>
      </c>
      <c r="B19" s="24" t="s">
        <v>21</v>
      </c>
      <c r="C19" s="27">
        <v>2</v>
      </c>
      <c r="D19" s="33">
        <v>10666.666666666695</v>
      </c>
      <c r="E19" s="27"/>
      <c r="F19" s="27"/>
      <c r="G19" s="25">
        <f t="shared" si="0"/>
        <v>21333.33333333339</v>
      </c>
      <c r="H19" s="64" t="s">
        <v>102</v>
      </c>
    </row>
    <row r="20" spans="1:9" x14ac:dyDescent="0.25">
      <c r="A20" s="40" t="s">
        <v>105</v>
      </c>
      <c r="B20" s="24" t="s">
        <v>21</v>
      </c>
      <c r="C20" s="27">
        <v>1</v>
      </c>
      <c r="D20" s="33">
        <v>9408.333333333303</v>
      </c>
      <c r="E20" s="27"/>
      <c r="F20" s="27"/>
      <c r="G20" s="25">
        <f t="shared" si="0"/>
        <v>9408.333333333303</v>
      </c>
      <c r="H20" s="64" t="s">
        <v>102</v>
      </c>
    </row>
    <row r="21" spans="1:9" x14ac:dyDescent="0.25">
      <c r="A21" s="40" t="s">
        <v>67</v>
      </c>
      <c r="B21" s="24" t="s">
        <v>21</v>
      </c>
      <c r="C21" s="27">
        <v>1</v>
      </c>
      <c r="D21" s="33">
        <v>11500</v>
      </c>
      <c r="E21" s="27"/>
      <c r="F21" s="27"/>
      <c r="G21" s="25">
        <f t="shared" si="0"/>
        <v>11500</v>
      </c>
      <c r="H21" s="64" t="s">
        <v>102</v>
      </c>
    </row>
    <row r="22" spans="1:9" x14ac:dyDescent="0.25">
      <c r="A22" s="40" t="s">
        <v>68</v>
      </c>
      <c r="B22" s="24" t="s">
        <v>21</v>
      </c>
      <c r="C22" s="27">
        <v>1</v>
      </c>
      <c r="D22" s="33">
        <v>5479.1666666666688</v>
      </c>
      <c r="E22" s="27"/>
      <c r="F22" s="27"/>
      <c r="G22" s="25">
        <f t="shared" si="0"/>
        <v>5479.1666666666688</v>
      </c>
      <c r="H22" s="64" t="s">
        <v>102</v>
      </c>
    </row>
    <row r="23" spans="1:9" x14ac:dyDescent="0.25">
      <c r="A23" s="40" t="s">
        <v>69</v>
      </c>
      <c r="B23" s="24" t="s">
        <v>21</v>
      </c>
      <c r="C23" s="27">
        <v>1</v>
      </c>
      <c r="D23" s="33">
        <v>3110.8333333333303</v>
      </c>
      <c r="E23" s="27"/>
      <c r="F23" s="27"/>
      <c r="G23" s="25">
        <f t="shared" si="0"/>
        <v>3110.8333333333303</v>
      </c>
      <c r="H23" s="64" t="s">
        <v>102</v>
      </c>
    </row>
    <row r="24" spans="1:9" x14ac:dyDescent="0.25">
      <c r="A24" s="40" t="s">
        <v>70</v>
      </c>
      <c r="B24" s="24" t="s">
        <v>21</v>
      </c>
      <c r="C24" s="27">
        <v>1</v>
      </c>
      <c r="D24" s="33">
        <v>14499.999999999998</v>
      </c>
      <c r="E24" s="27"/>
      <c r="F24" s="27"/>
      <c r="G24" s="25">
        <f t="shared" si="0"/>
        <v>14499.999999999998</v>
      </c>
      <c r="H24" s="64" t="s">
        <v>102</v>
      </c>
    </row>
    <row r="25" spans="1:9" x14ac:dyDescent="0.25">
      <c r="A25" s="40" t="s">
        <v>71</v>
      </c>
      <c r="B25" s="24" t="s">
        <v>21</v>
      </c>
      <c r="C25" s="27">
        <v>1</v>
      </c>
      <c r="D25" s="33">
        <v>5750</v>
      </c>
      <c r="E25" s="27"/>
      <c r="F25" s="27"/>
      <c r="G25" s="25">
        <f t="shared" si="0"/>
        <v>5750</v>
      </c>
      <c r="H25" s="64" t="s">
        <v>102</v>
      </c>
    </row>
    <row r="26" spans="1:9" x14ac:dyDescent="0.25">
      <c r="A26" s="40" t="s">
        <v>104</v>
      </c>
      <c r="B26" s="24" t="s">
        <v>21</v>
      </c>
      <c r="C26" s="27">
        <v>1</v>
      </c>
      <c r="D26" s="33">
        <v>6120</v>
      </c>
      <c r="E26" s="27"/>
      <c r="F26" s="27"/>
      <c r="G26" s="25">
        <f t="shared" si="0"/>
        <v>6120</v>
      </c>
      <c r="H26" s="64" t="s">
        <v>102</v>
      </c>
    </row>
    <row r="27" spans="1:9" x14ac:dyDescent="0.25">
      <c r="A27" s="40" t="s">
        <v>72</v>
      </c>
      <c r="B27" s="24" t="s">
        <v>21</v>
      </c>
      <c r="C27" s="27">
        <v>1</v>
      </c>
      <c r="D27" s="33">
        <v>9000</v>
      </c>
      <c r="E27" s="27"/>
      <c r="F27" s="27"/>
      <c r="G27" s="25">
        <f t="shared" si="0"/>
        <v>9000</v>
      </c>
      <c r="H27" s="64" t="s">
        <v>102</v>
      </c>
    </row>
    <row r="28" spans="1:9" s="36" customFormat="1" ht="12.75" x14ac:dyDescent="0.2">
      <c r="A28" s="65" t="s">
        <v>96</v>
      </c>
      <c r="B28" s="66"/>
      <c r="C28" s="67">
        <f>SUM(C5:C27)</f>
        <v>43</v>
      </c>
      <c r="D28" s="68"/>
      <c r="E28" s="66"/>
      <c r="F28" s="66"/>
      <c r="G28" s="69">
        <f>SUM(G5:G27)</f>
        <v>273596.69644905371</v>
      </c>
      <c r="H28" s="34"/>
      <c r="I28" s="35"/>
    </row>
    <row r="29" spans="1:9" x14ac:dyDescent="0.25">
      <c r="G29" s="32">
        <f>'Сводка затрат'!L13*1000</f>
        <v>273596696.4490537</v>
      </c>
    </row>
    <row r="30" spans="1:9" x14ac:dyDescent="0.25">
      <c r="C30" s="29"/>
      <c r="G30" s="32">
        <f>G29-G28</f>
        <v>273323099.75260466</v>
      </c>
    </row>
    <row r="31" spans="1:9" x14ac:dyDescent="0.25">
      <c r="D31" s="28"/>
      <c r="G31" s="31"/>
    </row>
    <row r="33" spans="3:4" x14ac:dyDescent="0.25">
      <c r="C33" s="30"/>
    </row>
    <row r="34" spans="3:4" x14ac:dyDescent="0.25">
      <c r="D34" s="28"/>
    </row>
  </sheetData>
  <mergeCells count="2">
    <mergeCell ref="A2:H2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Цена МАТ и ОБ по ТКП</vt:lpstr>
      <vt:lpstr>'Сводка затрат'!Область_печати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Лиморенко Анна Игоревна</cp:lastModifiedBy>
  <cp:lastPrinted>2022-01-25T02:38:45Z</cp:lastPrinted>
  <dcterms:created xsi:type="dcterms:W3CDTF">2021-08-10T06:39:51Z</dcterms:created>
  <dcterms:modified xsi:type="dcterms:W3CDTF">2025-11-03T06:54:28Z</dcterms:modified>
</cp:coreProperties>
</file>